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035" windowWidth="20730" windowHeight="11760"/>
  </bookViews>
  <sheets>
    <sheet name="CLASE III" sheetId="11" r:id="rId1"/>
    <sheet name="BADLAR" sheetId="10" state="hidden" r:id="rId2"/>
    <sheet name="CLASE X" sheetId="9" r:id="rId3"/>
  </sheets>
  <calcPr calcId="125725"/>
</workbook>
</file>

<file path=xl/calcChain.xml><?xml version="1.0" encoding="utf-8"?>
<calcChain xmlns="http://schemas.openxmlformats.org/spreadsheetml/2006/main">
  <c r="H28" i="11"/>
  <c r="H29"/>
  <c r="H10"/>
  <c r="H9"/>
  <c r="H36" i="10"/>
  <c r="J36" s="1"/>
  <c r="H32"/>
  <c r="H33"/>
  <c r="D62"/>
  <c r="C62"/>
  <c r="D30"/>
  <c r="C31"/>
  <c r="I33"/>
  <c r="I32"/>
  <c r="K19" i="11"/>
  <c r="K20"/>
  <c r="K21"/>
  <c r="C61" i="10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D21" i="11"/>
  <c r="D20"/>
  <c r="D19"/>
  <c r="J33" i="10" l="1"/>
  <c r="B1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10"/>
  <c r="I18" i="11"/>
  <c r="H20"/>
  <c r="H19"/>
  <c r="B21"/>
  <c r="B20"/>
  <c r="A22"/>
  <c r="H18"/>
  <c r="E21" s="1"/>
  <c r="H21" s="1"/>
  <c r="D18"/>
  <c r="H12"/>
  <c r="F20" s="1"/>
  <c r="H24" i="9"/>
  <c r="F19" i="11" l="1"/>
  <c r="I20"/>
  <c r="F21"/>
  <c r="I21" s="1"/>
  <c r="B16" i="9"/>
  <c r="C16"/>
  <c r="A17" l="1"/>
  <c r="K16" l="1"/>
  <c r="I15"/>
  <c r="H15"/>
  <c r="E16" s="1"/>
  <c r="H16" s="1"/>
  <c r="D15"/>
  <c r="H11"/>
  <c r="F16" l="1"/>
  <c r="I16" s="1"/>
  <c r="H22" s="1"/>
  <c r="D16"/>
  <c r="J16" l="1"/>
  <c r="H23" s="1"/>
  <c r="J32" i="10" l="1"/>
  <c r="I19" i="11" l="1"/>
  <c r="J34" i="10"/>
  <c r="H27" i="11"/>
  <c r="J19" s="1"/>
  <c r="H31" l="1"/>
  <c r="H32" s="1"/>
  <c r="J20"/>
  <c r="J21"/>
</calcChain>
</file>

<file path=xl/sharedStrings.xml><?xml version="1.0" encoding="utf-8"?>
<sst xmlns="http://schemas.openxmlformats.org/spreadsheetml/2006/main" count="51" uniqueCount="31">
  <si>
    <t>TIR</t>
  </si>
  <si>
    <t>Amortización</t>
  </si>
  <si>
    <t>Intereses</t>
  </si>
  <si>
    <t xml:space="preserve">OBLIGACIONES NEGOCIABLES </t>
  </si>
  <si>
    <t>Período de Intereses</t>
  </si>
  <si>
    <t>Fecha de Pago</t>
  </si>
  <si>
    <t>Capital Inicial</t>
  </si>
  <si>
    <t>Capital Final</t>
  </si>
  <si>
    <t>Flujo</t>
  </si>
  <si>
    <t>VA Flujo</t>
  </si>
  <si>
    <t>Días</t>
  </si>
  <si>
    <t>Duration (meses)</t>
  </si>
  <si>
    <t>Plazo Promedio (meses)</t>
  </si>
  <si>
    <t>Badlar Proyectada</t>
  </si>
  <si>
    <t>Margen de Corte Proyectado</t>
  </si>
  <si>
    <t>Tasa de interés Proyectada</t>
  </si>
  <si>
    <t>Tasa Mínima 1 Períodos</t>
  </si>
  <si>
    <t xml:space="preserve">La presente planilla de cálculo (“Calculadora”) ha sido puesta a disposición a modo ilustrativo y ejemplificativo. </t>
  </si>
  <si>
    <t xml:space="preserve">El Inversor interesado deberá, a los efectos de la suscripción de las Obligaciones Negociables basarse en sus propios cálculos y evaluación de los Términos y Condiciones de las Obligaciones Negociables descriptos en el Suplemento de Prospecto y/o Precio que ha tenido a su disposición, a fin de determinar el rendimiento. Se aclara que el uso de la Planilla de Cálculo no es obligatorio para el Inversor interesado, sino meramente orientativo, y que los resultados que ésta arroje no serán vinculantes; por tal motivo los colocadores no asumirán responsabilidad alguna con motivo de cualquier error cometido en la realización de los cálculos o en su interpretación. </t>
  </si>
  <si>
    <t>Celda Modificable</t>
  </si>
  <si>
    <t>Clase X - TASA VARIABLE - 3 MESES</t>
  </si>
  <si>
    <t>Clase X - TASA VARIABLE - VENCIMIENTO 2020</t>
  </si>
  <si>
    <t>Spread Sobre Badlar</t>
  </si>
  <si>
    <t>Precio a Licitar</t>
  </si>
  <si>
    <t>Tasa Nominal</t>
  </si>
  <si>
    <t>Spread sobre Badlar</t>
  </si>
  <si>
    <t>Badlar Devengada + Spread</t>
  </si>
  <si>
    <t>Badlar Proyectada + Spread</t>
  </si>
  <si>
    <t>Tasa</t>
  </si>
  <si>
    <t>Dias</t>
  </si>
  <si>
    <t>Badlar 1er Cupón</t>
  </si>
</sst>
</file>

<file path=xl/styles.xml><?xml version="1.0" encoding="utf-8"?>
<styleSheet xmlns="http://schemas.openxmlformats.org/spreadsheetml/2006/main">
  <numFmts count="8">
    <numFmt numFmtId="164" formatCode="_(* #,##0.00_);_(* \(#,##0.00\);_(* &quot;-&quot;??_);_(@_)"/>
    <numFmt numFmtId="165" formatCode="_-* #,##0.00\ _€_-;\-* #,##0.00\ _€_-;_-* &quot;-&quot;??\ _€_-;_-@_-"/>
    <numFmt numFmtId="166" formatCode="[$-C0A]d\-mmm\-yy;@"/>
    <numFmt numFmtId="167" formatCode="[$-2C0A]dddd\,\ dd&quot; de &quot;mmmm&quot; de &quot;yyyy;@"/>
    <numFmt numFmtId="168" formatCode="dd&quot; de &quot;mmmm&quot; de &quot;yyyy;@"/>
    <numFmt numFmtId="169" formatCode="[$-2C0A]dddd\ d&quot; de &quot;mmmm&quot; de &quot;yyyy;@"/>
    <numFmt numFmtId="170" formatCode="0.0000%"/>
    <numFmt numFmtId="171" formatCode="_(* #,##0.000_);_(* \(#,##0.000\);_(* &quot;-&quot;??_);_(@_)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Stag Sans Bold"/>
      <family val="2"/>
    </font>
    <font>
      <b/>
      <sz val="12"/>
      <name val="Stag Sans Bold"/>
      <family val="2"/>
    </font>
    <font>
      <sz val="10"/>
      <name val="Stag Sans Medium"/>
      <family val="2"/>
    </font>
    <font>
      <sz val="10"/>
      <color indexed="9"/>
      <name val="Stag Sans Medium"/>
      <family val="2"/>
    </font>
    <font>
      <b/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/>
      <diagonal/>
    </border>
    <border>
      <left/>
      <right/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3" tint="0.39997558519241921"/>
      </left>
      <right/>
      <top/>
      <bottom/>
      <diagonal/>
    </border>
    <border>
      <left/>
      <right style="medium">
        <color theme="3" tint="0.39997558519241921"/>
      </right>
      <top/>
      <bottom/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/>
      <right/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9"/>
      </right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 style="thin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5" fillId="6" borderId="19" xfId="3" applyFont="1" applyFill="1" applyBorder="1" applyAlignment="1" applyProtection="1">
      <alignment horizontal="left" indent="1"/>
    </xf>
    <xf numFmtId="0" fontId="5" fillId="6" borderId="8" xfId="3" applyFont="1" applyFill="1" applyBorder="1" applyAlignment="1" applyProtection="1">
      <alignment horizontal="right" indent="1"/>
    </xf>
    <xf numFmtId="0" fontId="5" fillId="5" borderId="21" xfId="3" applyFont="1" applyFill="1" applyBorder="1" applyAlignment="1" applyProtection="1">
      <alignment horizontal="left" indent="1"/>
    </xf>
    <xf numFmtId="0" fontId="5" fillId="5" borderId="22" xfId="3" applyFont="1" applyFill="1" applyBorder="1" applyAlignment="1" applyProtection="1">
      <alignment horizontal="right" indent="1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166" fontId="5" fillId="2" borderId="9" xfId="0" applyNumberFormat="1" applyFon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10" fontId="5" fillId="2" borderId="9" xfId="0" applyNumberFormat="1" applyFont="1" applyFill="1" applyBorder="1" applyProtection="1">
      <protection locked="0"/>
    </xf>
    <xf numFmtId="166" fontId="5" fillId="0" borderId="9" xfId="0" applyNumberFormat="1" applyFont="1" applyBorder="1" applyAlignment="1" applyProtection="1">
      <alignment horizontal="left"/>
    </xf>
    <xf numFmtId="0" fontId="0" fillId="0" borderId="9" xfId="0" applyBorder="1" applyProtection="1"/>
    <xf numFmtId="166" fontId="5" fillId="0" borderId="0" xfId="0" applyNumberFormat="1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Protection="1"/>
    <xf numFmtId="168" fontId="5" fillId="0" borderId="13" xfId="0" applyNumberFormat="1" applyFont="1" applyBorder="1" applyProtection="1"/>
    <xf numFmtId="2" fontId="5" fillId="0" borderId="13" xfId="0" applyNumberFormat="1" applyFont="1" applyBorder="1" applyAlignment="1" applyProtection="1">
      <alignment horizontal="right" indent="1"/>
    </xf>
    <xf numFmtId="2" fontId="5" fillId="0" borderId="24" xfId="0" applyNumberFormat="1" applyFont="1" applyBorder="1" applyAlignment="1" applyProtection="1">
      <alignment horizontal="right" indent="1"/>
    </xf>
    <xf numFmtId="0" fontId="6" fillId="0" borderId="0" xfId="0" applyFont="1" applyProtection="1"/>
    <xf numFmtId="168" fontId="5" fillId="0" borderId="14" xfId="0" applyNumberFormat="1" applyFont="1" applyBorder="1" applyProtection="1"/>
    <xf numFmtId="168" fontId="5" fillId="0" borderId="0" xfId="0" applyNumberFormat="1" applyFont="1" applyProtection="1"/>
    <xf numFmtId="2" fontId="5" fillId="0" borderId="14" xfId="0" applyNumberFormat="1" applyFont="1" applyBorder="1" applyAlignment="1" applyProtection="1">
      <alignment horizontal="right" indent="1"/>
    </xf>
    <xf numFmtId="2" fontId="5" fillId="0" borderId="25" xfId="0" applyNumberFormat="1" applyFont="1" applyBorder="1" applyAlignment="1" applyProtection="1">
      <alignment horizontal="right" indent="1"/>
    </xf>
    <xf numFmtId="1" fontId="5" fillId="0" borderId="14" xfId="0" applyNumberFormat="1" applyFont="1" applyBorder="1" applyAlignment="1" applyProtection="1">
      <alignment horizontal="right" indent="1"/>
    </xf>
    <xf numFmtId="169" fontId="5" fillId="0" borderId="14" xfId="0" applyNumberFormat="1" applyFont="1" applyBorder="1" applyProtection="1"/>
    <xf numFmtId="167" fontId="5" fillId="0" borderId="14" xfId="0" applyNumberFormat="1" applyFont="1" applyBorder="1" applyProtection="1"/>
    <xf numFmtId="167" fontId="5" fillId="0" borderId="0" xfId="0" applyNumberFormat="1" applyFont="1" applyBorder="1" applyProtection="1"/>
    <xf numFmtId="167" fontId="5" fillId="0" borderId="15" xfId="0" applyNumberFormat="1" applyFont="1" applyBorder="1" applyProtection="1"/>
    <xf numFmtId="2" fontId="5" fillId="0" borderId="15" xfId="0" applyNumberFormat="1" applyFont="1" applyBorder="1" applyAlignment="1" applyProtection="1">
      <alignment horizontal="right" indent="1"/>
    </xf>
    <xf numFmtId="2" fontId="5" fillId="0" borderId="26" xfId="0" applyNumberFormat="1" applyFont="1" applyBorder="1" applyAlignment="1" applyProtection="1">
      <alignment horizontal="right" indent="1"/>
    </xf>
    <xf numFmtId="1" fontId="5" fillId="0" borderId="15" xfId="0" applyNumberFormat="1" applyFont="1" applyBorder="1" applyAlignment="1" applyProtection="1">
      <alignment horizontal="right" indent="1"/>
    </xf>
    <xf numFmtId="167" fontId="5" fillId="0" borderId="0" xfId="0" applyNumberFormat="1" applyFont="1" applyProtection="1">
      <protection locked="0"/>
    </xf>
    <xf numFmtId="2" fontId="5" fillId="0" borderId="0" xfId="0" applyNumberFormat="1" applyFont="1" applyAlignment="1" applyProtection="1">
      <alignment horizontal="right" indent="1"/>
      <protection locked="0"/>
    </xf>
    <xf numFmtId="1" fontId="5" fillId="0" borderId="0" xfId="0" applyNumberFormat="1" applyFont="1" applyAlignment="1" applyProtection="1">
      <alignment horizontal="right" indent="1"/>
      <protection locked="0"/>
    </xf>
    <xf numFmtId="0" fontId="5" fillId="0" borderId="0" xfId="0" applyFont="1" applyAlignment="1" applyProtection="1">
      <alignment horizontal="right" indent="1"/>
      <protection locked="0"/>
    </xf>
    <xf numFmtId="0" fontId="0" fillId="0" borderId="0" xfId="0" applyAlignment="1" applyProtection="1">
      <alignment horizontal="right" indent="1"/>
      <protection locked="0"/>
    </xf>
    <xf numFmtId="10" fontId="5" fillId="0" borderId="9" xfId="0" applyNumberFormat="1" applyFont="1" applyBorder="1" applyProtection="1"/>
    <xf numFmtId="0" fontId="5" fillId="5" borderId="7" xfId="0" applyFont="1" applyFill="1" applyBorder="1" applyProtection="1"/>
    <xf numFmtId="0" fontId="5" fillId="5" borderId="8" xfId="0" applyFont="1" applyFill="1" applyBorder="1" applyProtection="1"/>
    <xf numFmtId="10" fontId="5" fillId="5" borderId="8" xfId="0" applyNumberFormat="1" applyFont="1" applyFill="1" applyBorder="1" applyProtection="1"/>
    <xf numFmtId="0" fontId="7" fillId="0" borderId="0" xfId="0" applyFont="1" applyAlignment="1" applyProtection="1">
      <alignment vertical="center" wrapText="1"/>
    </xf>
    <xf numFmtId="0" fontId="5" fillId="8" borderId="16" xfId="3" applyFont="1" applyFill="1" applyBorder="1" applyAlignment="1" applyProtection="1">
      <alignment horizontal="left" indent="1"/>
    </xf>
    <xf numFmtId="0" fontId="5" fillId="8" borderId="17" xfId="3" applyFont="1" applyFill="1" applyBorder="1" applyAlignment="1" applyProtection="1">
      <alignment horizontal="right" indent="1"/>
    </xf>
    <xf numFmtId="10" fontId="5" fillId="8" borderId="18" xfId="2" applyNumberFormat="1" applyFont="1" applyFill="1" applyBorder="1" applyAlignment="1" applyProtection="1">
      <alignment horizontal="right" indent="1"/>
    </xf>
    <xf numFmtId="0" fontId="2" fillId="2" borderId="9" xfId="3" applyFill="1" applyBorder="1" applyAlignment="1" applyProtection="1">
      <alignment horizontal="center"/>
    </xf>
    <xf numFmtId="2" fontId="5" fillId="6" borderId="20" xfId="3" applyNumberFormat="1" applyFont="1" applyFill="1" applyBorder="1" applyAlignment="1" applyProtection="1">
      <alignment horizontal="right" indent="1"/>
    </xf>
    <xf numFmtId="2" fontId="5" fillId="5" borderId="23" xfId="3" applyNumberFormat="1" applyFont="1" applyFill="1" applyBorder="1" applyAlignment="1" applyProtection="1">
      <alignment horizontal="right" indent="1"/>
    </xf>
    <xf numFmtId="0" fontId="6" fillId="4" borderId="10" xfId="0" applyFont="1" applyFill="1" applyBorder="1" applyAlignment="1" applyProtection="1">
      <alignment horizontal="center" vertical="center" wrapText="1"/>
    </xf>
    <xf numFmtId="2" fontId="5" fillId="0" borderId="14" xfId="0" applyNumberFormat="1" applyFont="1" applyFill="1" applyBorder="1" applyAlignment="1" applyProtection="1">
      <alignment horizontal="right" indent="1"/>
    </xf>
    <xf numFmtId="0" fontId="9" fillId="0" borderId="0" xfId="6"/>
    <xf numFmtId="0" fontId="4" fillId="9" borderId="0" xfId="0" applyFont="1" applyFill="1" applyBorder="1" applyAlignment="1" applyProtection="1">
      <alignment horizontal="center"/>
    </xf>
    <xf numFmtId="0" fontId="5" fillId="9" borderId="0" xfId="0" applyFont="1" applyFill="1" applyBorder="1" applyProtection="1"/>
    <xf numFmtId="10" fontId="5" fillId="9" borderId="0" xfId="0" applyNumberFormat="1" applyFont="1" applyFill="1" applyBorder="1" applyProtection="1"/>
    <xf numFmtId="0" fontId="5" fillId="5" borderId="35" xfId="3" applyFont="1" applyFill="1" applyBorder="1" applyAlignment="1" applyProtection="1">
      <alignment horizontal="left" indent="1"/>
    </xf>
    <xf numFmtId="0" fontId="5" fillId="5" borderId="36" xfId="3" applyFont="1" applyFill="1" applyBorder="1" applyAlignment="1" applyProtection="1">
      <alignment horizontal="right" indent="1"/>
    </xf>
    <xf numFmtId="0" fontId="5" fillId="5" borderId="38" xfId="3" applyFont="1" applyFill="1" applyBorder="1" applyAlignment="1" applyProtection="1">
      <alignment horizontal="left" indent="1"/>
    </xf>
    <xf numFmtId="0" fontId="5" fillId="5" borderId="39" xfId="3" applyFont="1" applyFill="1" applyBorder="1" applyAlignment="1" applyProtection="1">
      <alignment horizontal="right" indent="1"/>
    </xf>
    <xf numFmtId="10" fontId="5" fillId="5" borderId="40" xfId="5" applyNumberFormat="1" applyFont="1" applyFill="1" applyBorder="1" applyAlignment="1" applyProtection="1">
      <alignment horizontal="right" indent="1"/>
    </xf>
    <xf numFmtId="0" fontId="0" fillId="0" borderId="0" xfId="0" applyAlignment="1">
      <alignment horizontal="right"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/>
    <xf numFmtId="0" fontId="0" fillId="9" borderId="0" xfId="0" applyFill="1"/>
    <xf numFmtId="170" fontId="0" fillId="0" borderId="0" xfId="5" applyNumberFormat="1" applyFont="1"/>
    <xf numFmtId="170" fontId="0" fillId="0" borderId="0" xfId="0" applyNumberFormat="1"/>
    <xf numFmtId="14" fontId="0" fillId="10" borderId="0" xfId="0" applyNumberFormat="1" applyFill="1"/>
    <xf numFmtId="0" fontId="0" fillId="10" borderId="0" xfId="0" applyFill="1" applyAlignment="1">
      <alignment horizontal="right" vertical="center" wrapText="1"/>
    </xf>
    <xf numFmtId="0" fontId="6" fillId="4" borderId="41" xfId="0" applyFont="1" applyFill="1" applyBorder="1" applyAlignment="1" applyProtection="1">
      <alignment horizontal="center" vertical="center" wrapText="1"/>
    </xf>
    <xf numFmtId="0" fontId="6" fillId="4" borderId="42" xfId="0" applyFont="1" applyFill="1" applyBorder="1" applyAlignment="1" applyProtection="1">
      <alignment horizontal="center" vertical="center" wrapText="1"/>
    </xf>
    <xf numFmtId="170" fontId="5" fillId="2" borderId="9" xfId="0" applyNumberFormat="1" applyFont="1" applyFill="1" applyBorder="1" applyProtection="1">
      <protection locked="0"/>
    </xf>
    <xf numFmtId="10" fontId="5" fillId="5" borderId="37" xfId="5" applyNumberFormat="1" applyFont="1" applyFill="1" applyBorder="1" applyAlignment="1" applyProtection="1">
      <alignment horizontal="right" indent="1"/>
    </xf>
    <xf numFmtId="0" fontId="3" fillId="3" borderId="1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7" fillId="7" borderId="27" xfId="0" applyFont="1" applyFill="1" applyBorder="1" applyAlignment="1" applyProtection="1">
      <alignment horizontal="center" vertical="center" wrapText="1"/>
    </xf>
    <xf numFmtId="0" fontId="7" fillId="7" borderId="28" xfId="0" applyFont="1" applyFill="1" applyBorder="1" applyAlignment="1" applyProtection="1">
      <alignment horizontal="center" vertical="center" wrapText="1"/>
    </xf>
    <xf numFmtId="0" fontId="7" fillId="7" borderId="29" xfId="0" applyFont="1" applyFill="1" applyBorder="1" applyAlignment="1" applyProtection="1">
      <alignment horizontal="center" vertical="center" wrapText="1"/>
    </xf>
    <xf numFmtId="0" fontId="7" fillId="7" borderId="30" xfId="0" applyFont="1" applyFill="1" applyBorder="1" applyAlignment="1" applyProtection="1">
      <alignment horizontal="center" vertical="center" wrapText="1"/>
    </xf>
    <xf numFmtId="0" fontId="7" fillId="7" borderId="0" xfId="0" applyFont="1" applyFill="1" applyBorder="1" applyAlignment="1" applyProtection="1">
      <alignment horizontal="center" vertical="center" wrapText="1"/>
    </xf>
    <xf numFmtId="0" fontId="7" fillId="7" borderId="31" xfId="0" applyFont="1" applyFill="1" applyBorder="1" applyAlignment="1" applyProtection="1">
      <alignment horizontal="center" vertical="center" wrapText="1"/>
    </xf>
    <xf numFmtId="0" fontId="7" fillId="7" borderId="32" xfId="0" applyFont="1" applyFill="1" applyBorder="1" applyAlignment="1" applyProtection="1">
      <alignment horizontal="center" vertical="center" wrapText="1"/>
    </xf>
    <xf numFmtId="0" fontId="7" fillId="7" borderId="33" xfId="0" applyFont="1" applyFill="1" applyBorder="1" applyAlignment="1" applyProtection="1">
      <alignment horizontal="center" vertical="center" wrapText="1"/>
    </xf>
    <xf numFmtId="0" fontId="7" fillId="7" borderId="34" xfId="0" applyFont="1" applyFill="1" applyBorder="1" applyAlignment="1" applyProtection="1">
      <alignment horizontal="center" vertical="center" wrapText="1"/>
    </xf>
    <xf numFmtId="171" fontId="5" fillId="5" borderId="8" xfId="4" applyNumberFormat="1" applyFont="1" applyFill="1" applyBorder="1" applyProtection="1"/>
  </cellXfs>
  <cellStyles count="7">
    <cellStyle name="Hipervínculo" xfId="6" builtinId="8"/>
    <cellStyle name="Millares" xfId="4" builtinId="3"/>
    <cellStyle name="Millares 2" xfId="1"/>
    <cellStyle name="Normal" xfId="0" builtinId="0"/>
    <cellStyle name="Normal 2" xfId="3"/>
    <cellStyle name="Porcentaje 2" xfId="2"/>
    <cellStyle name="Porcentual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13230</xdr:colOff>
      <xdr:row>9</xdr:row>
      <xdr:rowOff>92002</xdr:rowOff>
    </xdr:from>
    <xdr:to>
      <xdr:col>2</xdr:col>
      <xdr:colOff>13230</xdr:colOff>
      <xdr:row>12</xdr:row>
      <xdr:rowOff>40757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7C85711-9BE4-DE41-9437-2D19AFD26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230" y="1628702"/>
          <a:ext cx="0" cy="52025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179916</xdr:colOff>
      <xdr:row>3</xdr:row>
      <xdr:rowOff>148166</xdr:rowOff>
    </xdr:from>
    <xdr:to>
      <xdr:col>1</xdr:col>
      <xdr:colOff>179916</xdr:colOff>
      <xdr:row>8</xdr:row>
      <xdr:rowOff>159821</xdr:rowOff>
    </xdr:to>
    <xdr:pic>
      <xdr:nvPicPr>
        <xdr:cNvPr id="3" name="Imagen 5">
          <a:extLst>
            <a:ext uri="{FF2B5EF4-FFF2-40B4-BE49-F238E27FC236}">
              <a16:creationId xmlns="" xmlns:a16="http://schemas.microsoft.com/office/drawing/2014/main" id="{8FB7AA64-06D5-D54B-A89F-0757CECB1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816" y="719666"/>
          <a:ext cx="0" cy="97685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90489</xdr:colOff>
      <xdr:row>8</xdr:row>
      <xdr:rowOff>16492</xdr:rowOff>
    </xdr:from>
    <xdr:to>
      <xdr:col>3</xdr:col>
      <xdr:colOff>690563</xdr:colOff>
      <xdr:row>11</xdr:row>
      <xdr:rowOff>121443</xdr:rowOff>
    </xdr:to>
    <xdr:pic>
      <xdr:nvPicPr>
        <xdr:cNvPr id="4" name="Imagen 7">
          <a:extLst>
            <a:ext uri="{FF2B5EF4-FFF2-40B4-BE49-F238E27FC236}">
              <a16:creationId xmlns="" xmlns:a16="http://schemas.microsoft.com/office/drawing/2014/main" id="{7760E09F-7CA8-6149-A725-DA062350E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6489" y="1362692"/>
          <a:ext cx="2543174" cy="67645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1905000</xdr:colOff>
      <xdr:row>0</xdr:row>
      <xdr:rowOff>147915</xdr:rowOff>
    </xdr:from>
    <xdr:to>
      <xdr:col>3</xdr:col>
      <xdr:colOff>539750</xdr:colOff>
      <xdr:row>5</xdr:row>
      <xdr:rowOff>95250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240D3BE6-E310-0E42-9B4F-AFFDD56FC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147915"/>
          <a:ext cx="2520950" cy="912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13230</xdr:colOff>
      <xdr:row>8</xdr:row>
      <xdr:rowOff>92002</xdr:rowOff>
    </xdr:from>
    <xdr:to>
      <xdr:col>2</xdr:col>
      <xdr:colOff>13230</xdr:colOff>
      <xdr:row>12</xdr:row>
      <xdr:rowOff>40757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3480" y="1511227"/>
          <a:ext cx="2801408" cy="52025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179916</xdr:colOff>
      <xdr:row>3</xdr:row>
      <xdr:rowOff>148166</xdr:rowOff>
    </xdr:from>
    <xdr:to>
      <xdr:col>1</xdr:col>
      <xdr:colOff>179916</xdr:colOff>
      <xdr:row>8</xdr:row>
      <xdr:rowOff>159821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716" y="633941"/>
          <a:ext cx="0" cy="102368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90489</xdr:colOff>
      <xdr:row>7</xdr:row>
      <xdr:rowOff>16492</xdr:rowOff>
    </xdr:from>
    <xdr:to>
      <xdr:col>3</xdr:col>
      <xdr:colOff>690563</xdr:colOff>
      <xdr:row>10</xdr:row>
      <xdr:rowOff>121443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9" y="1385711"/>
          <a:ext cx="2290762" cy="68835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1905000</xdr:colOff>
      <xdr:row>0</xdr:row>
      <xdr:rowOff>147915</xdr:rowOff>
    </xdr:from>
    <xdr:to>
      <xdr:col>3</xdr:col>
      <xdr:colOff>539750</xdr:colOff>
      <xdr:row>5</xdr:row>
      <xdr:rowOff>95250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D43E4005-0690-AE48-B5D4-C6EBE7761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0" y="147915"/>
          <a:ext cx="2508250" cy="915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showGridLines="0" tabSelected="1" zoomScale="80" zoomScaleNormal="80" workbookViewId="0"/>
  </sheetViews>
  <sheetFormatPr baseColWidth="10" defaultColWidth="0" defaultRowHeight="12.75" customHeight="1" zeroHeight="1"/>
  <cols>
    <col min="1" max="1" width="4.42578125" style="5" customWidth="1"/>
    <col min="2" max="2" width="25.42578125" style="5" customWidth="1"/>
    <col min="3" max="3" width="25.42578125" style="6" customWidth="1"/>
    <col min="4" max="4" width="32.85546875" style="6" bestFit="1" customWidth="1"/>
    <col min="5" max="6" width="12.42578125" style="5" customWidth="1"/>
    <col min="7" max="7" width="15.28515625" style="5" customWidth="1"/>
    <col min="8" max="8" width="15" style="5" customWidth="1"/>
    <col min="9" max="11" width="12.42578125" style="5" customWidth="1"/>
    <col min="16384" max="16384" width="0.42578125" customWidth="1"/>
  </cols>
  <sheetData>
    <row r="1" spans="3:10" s="5" customFormat="1" ht="15">
      <c r="C1" s="6"/>
      <c r="D1" s="6"/>
    </row>
    <row r="2" spans="3:10" s="5" customFormat="1" ht="15">
      <c r="C2" s="6"/>
      <c r="D2" s="6"/>
    </row>
    <row r="3" spans="3:10" s="5" customFormat="1" ht="15">
      <c r="C3" s="6"/>
      <c r="D3" s="6"/>
    </row>
    <row r="4" spans="3:10" s="5" customFormat="1" ht="15">
      <c r="C4" s="6"/>
      <c r="D4" s="6"/>
    </row>
    <row r="5" spans="3:10" s="5" customFormat="1" ht="15.75" thickBot="1">
      <c r="C5" s="6"/>
      <c r="D5" s="6"/>
    </row>
    <row r="6" spans="3:10" s="5" customFormat="1" ht="15.75" customHeight="1">
      <c r="C6" s="6"/>
      <c r="D6" s="6"/>
      <c r="F6" s="77" t="s">
        <v>3</v>
      </c>
      <c r="G6" s="78"/>
      <c r="H6" s="78"/>
      <c r="I6" s="79"/>
    </row>
    <row r="7" spans="3:10" s="5" customFormat="1" ht="15.75" customHeight="1" thickBot="1">
      <c r="C7" s="6"/>
      <c r="D7" s="6"/>
      <c r="F7" s="80" t="s">
        <v>21</v>
      </c>
      <c r="G7" s="81"/>
      <c r="H7" s="81"/>
      <c r="I7" s="82"/>
      <c r="J7" s="7"/>
    </row>
    <row r="8" spans="3:10" s="5" customFormat="1" ht="15.75" customHeight="1">
      <c r="C8" s="6"/>
      <c r="D8" s="6"/>
      <c r="F8" s="57"/>
      <c r="G8" s="57"/>
      <c r="H8" s="57"/>
      <c r="I8" s="57"/>
      <c r="J8" s="7"/>
    </row>
    <row r="9" spans="3:10" s="5" customFormat="1" ht="15.75" customHeight="1">
      <c r="C9" s="6"/>
      <c r="D9" s="6"/>
      <c r="F9" s="9" t="s">
        <v>30</v>
      </c>
      <c r="G9" s="10"/>
      <c r="H9" s="75">
        <f>+BADLAR!D62/100</f>
        <v>0.27131458333333297</v>
      </c>
      <c r="I9" s="8"/>
      <c r="J9" s="7"/>
    </row>
    <row r="10" spans="3:10" ht="15">
      <c r="F10" s="9" t="s">
        <v>13</v>
      </c>
      <c r="G10" s="10"/>
      <c r="H10" s="75">
        <f>+BADLAR!C31/100</f>
        <v>0.25412499999999999</v>
      </c>
      <c r="J10" s="7"/>
    </row>
    <row r="11" spans="3:10" ht="15">
      <c r="F11" s="9" t="s">
        <v>22</v>
      </c>
      <c r="G11" s="10"/>
      <c r="H11" s="11">
        <v>0.06</v>
      </c>
      <c r="J11" s="7"/>
    </row>
    <row r="12" spans="3:10" ht="15">
      <c r="F12" s="12" t="s">
        <v>15</v>
      </c>
      <c r="G12" s="13"/>
      <c r="H12" s="43">
        <f>+H10+H11</f>
        <v>0.31412499999999999</v>
      </c>
      <c r="J12" s="7"/>
    </row>
    <row r="13" spans="3:10" ht="15">
      <c r="C13" s="14"/>
      <c r="D13" s="14"/>
      <c r="E13" s="7"/>
      <c r="F13" s="44" t="s">
        <v>16</v>
      </c>
      <c r="G13" s="45"/>
      <c r="H13" s="46">
        <v>0</v>
      </c>
      <c r="I13" s="7"/>
      <c r="J13" s="7"/>
    </row>
    <row r="14" spans="3:10" ht="15">
      <c r="C14" s="14"/>
      <c r="D14" s="14"/>
      <c r="E14" s="7"/>
      <c r="F14" s="44" t="s">
        <v>23</v>
      </c>
      <c r="G14" s="45"/>
      <c r="H14" s="94">
        <v>103.52500000000001</v>
      </c>
      <c r="I14" s="7"/>
      <c r="J14" s="7"/>
    </row>
    <row r="15" spans="3:10" ht="15">
      <c r="C15" s="14"/>
      <c r="D15" s="14"/>
      <c r="E15" s="7"/>
      <c r="F15" s="58"/>
      <c r="G15" s="58"/>
      <c r="H15" s="59"/>
      <c r="I15" s="7"/>
      <c r="J15" s="7"/>
    </row>
    <row r="16" spans="3:10" ht="15">
      <c r="C16" s="14"/>
      <c r="D16" s="14"/>
      <c r="E16" s="7"/>
      <c r="F16" s="7"/>
      <c r="G16" s="7"/>
      <c r="H16" s="7"/>
      <c r="I16" s="7"/>
      <c r="J16" s="7"/>
    </row>
    <row r="17" spans="1:11" s="20" customFormat="1" ht="24" customHeight="1">
      <c r="A17" s="15"/>
      <c r="B17" s="83" t="s">
        <v>4</v>
      </c>
      <c r="C17" s="84"/>
      <c r="D17" s="54" t="s">
        <v>5</v>
      </c>
      <c r="E17" s="73" t="s">
        <v>6</v>
      </c>
      <c r="F17" s="18" t="s">
        <v>2</v>
      </c>
      <c r="G17" s="18" t="s">
        <v>1</v>
      </c>
      <c r="H17" s="74" t="s">
        <v>7</v>
      </c>
      <c r="I17" s="18" t="s">
        <v>8</v>
      </c>
      <c r="J17" s="18" t="s">
        <v>9</v>
      </c>
      <c r="K17" s="19" t="s">
        <v>10</v>
      </c>
    </row>
    <row r="18" spans="1:11" ht="15">
      <c r="A18" s="21"/>
      <c r="B18" s="22"/>
      <c r="C18" s="22">
        <v>43938</v>
      </c>
      <c r="D18" s="31">
        <f t="shared" ref="D18" si="0">+C18</f>
        <v>43938</v>
      </c>
      <c r="E18" s="28">
        <v>100</v>
      </c>
      <c r="F18" s="23"/>
      <c r="G18" s="23"/>
      <c r="H18" s="28">
        <f t="shared" ref="H18:H21" si="1">+E18-G18</f>
        <v>100</v>
      </c>
      <c r="I18" s="23">
        <f>-H14</f>
        <v>-103.52500000000001</v>
      </c>
      <c r="J18" s="24"/>
      <c r="K18" s="23"/>
    </row>
    <row r="19" spans="1:11" ht="15">
      <c r="A19" s="21"/>
      <c r="B19" s="26">
        <v>43896</v>
      </c>
      <c r="C19" s="27">
        <v>43988</v>
      </c>
      <c r="D19" s="31">
        <f>+C19+2</f>
        <v>43990</v>
      </c>
      <c r="E19" s="28">
        <v>100</v>
      </c>
      <c r="F19" s="55">
        <f>IF($H$12&gt;$H$13,+E19*(H9+H11)*(C19-B19)/365,+E19*$H$13*(C19-B19)/365)</f>
        <v>8.3509429223744203</v>
      </c>
      <c r="G19" s="28"/>
      <c r="H19" s="28">
        <f t="shared" si="1"/>
        <v>100</v>
      </c>
      <c r="I19" s="28">
        <f t="shared" ref="I19:I21" si="2">+F19+G19</f>
        <v>8.3509429223744203</v>
      </c>
      <c r="J19" s="29">
        <f>+I19/(1+$H$27)^((D19-C$18)/365)</f>
        <v>7.9882704256252453</v>
      </c>
      <c r="K19" s="30">
        <f>+D19-$C$18</f>
        <v>52</v>
      </c>
    </row>
    <row r="20" spans="1:11" ht="15">
      <c r="A20" s="21"/>
      <c r="B20" s="26">
        <f>C19</f>
        <v>43988</v>
      </c>
      <c r="C20" s="27">
        <v>44080</v>
      </c>
      <c r="D20" s="31">
        <f>+C20+1</f>
        <v>44081</v>
      </c>
      <c r="E20" s="28">
        <v>100</v>
      </c>
      <c r="F20" s="55">
        <f>IF($H$12&gt;$H$13,+E20*$H$12*(C20-B20)/365,+E20*$H$13*(C20-B20)/365)</f>
        <v>7.917671232876712</v>
      </c>
      <c r="G20" s="28"/>
      <c r="H20" s="28">
        <f t="shared" si="1"/>
        <v>100</v>
      </c>
      <c r="I20" s="28">
        <f t="shared" si="2"/>
        <v>7.917671232876712</v>
      </c>
      <c r="J20" s="29">
        <f>+I20/(1+$H$27)^((D20-C$18)/365)</f>
        <v>7.0076093479533572</v>
      </c>
      <c r="K20" s="30">
        <f>+D20-$C$18</f>
        <v>143</v>
      </c>
    </row>
    <row r="21" spans="1:11" ht="15">
      <c r="A21" s="25">
        <v>3</v>
      </c>
      <c r="B21" s="26">
        <f>C20</f>
        <v>44080</v>
      </c>
      <c r="C21" s="27">
        <v>44171</v>
      </c>
      <c r="D21" s="31">
        <f>+C21-2</f>
        <v>44169</v>
      </c>
      <c r="E21" s="28">
        <f>+H18</f>
        <v>100</v>
      </c>
      <c r="F21" s="55">
        <f>IF($H$12&gt;$H$13,+E21*$H$12*(C21-B21)/365,+E21*$H$13*(C21-B21)/365)</f>
        <v>7.8316095890410953</v>
      </c>
      <c r="G21" s="28">
        <v>100</v>
      </c>
      <c r="H21" s="28">
        <f t="shared" si="1"/>
        <v>0</v>
      </c>
      <c r="I21" s="28">
        <f t="shared" si="2"/>
        <v>107.83160958904109</v>
      </c>
      <c r="J21" s="29">
        <f>+I21/(1+$H$27)^((D21-C$18)/365)</f>
        <v>88.529120368193603</v>
      </c>
      <c r="K21" s="30">
        <f>+D21-$C$18</f>
        <v>231</v>
      </c>
    </row>
    <row r="22" spans="1:11" ht="15">
      <c r="A22" s="25">
        <f t="shared" ref="A22" si="3">+A21+3</f>
        <v>6</v>
      </c>
      <c r="B22" s="26"/>
      <c r="C22" s="27"/>
      <c r="D22" s="31"/>
      <c r="E22" s="28"/>
      <c r="F22" s="28"/>
      <c r="G22" s="28"/>
      <c r="H22" s="28"/>
      <c r="I22" s="28"/>
      <c r="J22" s="29"/>
      <c r="K22" s="30"/>
    </row>
    <row r="23" spans="1:11" ht="15" hidden="1">
      <c r="A23" s="25"/>
      <c r="B23" s="32"/>
      <c r="C23" s="33"/>
      <c r="D23" s="32"/>
      <c r="E23" s="28"/>
      <c r="F23" s="28"/>
      <c r="G23" s="28"/>
      <c r="H23" s="28"/>
      <c r="I23" s="28"/>
      <c r="J23" s="29"/>
      <c r="K23" s="30"/>
    </row>
    <row r="24" spans="1:11" ht="15" hidden="1">
      <c r="A24" s="25"/>
      <c r="B24" s="32"/>
      <c r="C24" s="33"/>
      <c r="D24" s="32"/>
      <c r="E24" s="28"/>
      <c r="F24" s="28"/>
      <c r="G24" s="28"/>
      <c r="H24" s="28"/>
      <c r="I24" s="28"/>
      <c r="J24" s="29"/>
      <c r="K24" s="30"/>
    </row>
    <row r="25" spans="1:11" ht="15">
      <c r="A25" s="21"/>
      <c r="B25" s="34"/>
      <c r="C25" s="34"/>
      <c r="D25" s="34"/>
      <c r="E25" s="35"/>
      <c r="F25" s="35"/>
      <c r="G25" s="35"/>
      <c r="H25" s="35"/>
      <c r="I25" s="35"/>
      <c r="J25" s="36"/>
      <c r="K25" s="37"/>
    </row>
    <row r="26" spans="1:11" ht="15.75" thickBot="1">
      <c r="A26" s="21"/>
      <c r="C26" s="38"/>
      <c r="D26" s="38"/>
      <c r="E26" s="39"/>
      <c r="F26" s="39"/>
      <c r="G26" s="39"/>
      <c r="H26" s="39"/>
      <c r="I26" s="39"/>
      <c r="J26" s="39"/>
      <c r="K26" s="40"/>
    </row>
    <row r="27" spans="1:11" ht="15">
      <c r="C27" s="14"/>
      <c r="D27" s="14"/>
      <c r="E27" s="41"/>
      <c r="F27" s="48" t="s">
        <v>0</v>
      </c>
      <c r="G27" s="49"/>
      <c r="H27" s="50">
        <f>XIRR(I18:I21,D18:D21)</f>
        <v>0.36568368077278135</v>
      </c>
      <c r="J27" s="41"/>
      <c r="K27" s="42"/>
    </row>
    <row r="28" spans="1:11" ht="15">
      <c r="C28" s="14"/>
      <c r="D28" s="14"/>
      <c r="E28" s="41"/>
      <c r="F28" s="1" t="s">
        <v>11</v>
      </c>
      <c r="G28" s="2"/>
      <c r="H28" s="52">
        <f>SUMPRODUCT(J18:J21,K18:K21)/H14/365</f>
        <v>0.5787154847500291</v>
      </c>
      <c r="J28" s="41"/>
      <c r="K28" s="42"/>
    </row>
    <row r="29" spans="1:11" ht="15.75" thickBot="1">
      <c r="C29" s="14"/>
      <c r="D29" s="14"/>
      <c r="E29" s="7"/>
      <c r="F29" s="3" t="s">
        <v>12</v>
      </c>
      <c r="G29" s="4"/>
      <c r="H29" s="53">
        <f>SUMPRODUCT(G19:G21,K19:K21)/H14/30</f>
        <v>7.4378169524269504</v>
      </c>
      <c r="J29" s="7"/>
    </row>
    <row r="30" spans="1:11" ht="12.75" customHeight="1" thickBot="1"/>
    <row r="31" spans="1:11" ht="15">
      <c r="C31" s="14"/>
      <c r="D31" s="14"/>
      <c r="E31" s="7"/>
      <c r="F31" s="60" t="s">
        <v>24</v>
      </c>
      <c r="G31" s="61"/>
      <c r="H31" s="76">
        <f>NOMINAL(H27,4)</f>
        <v>0.32411784536431743</v>
      </c>
      <c r="J31" s="7"/>
    </row>
    <row r="32" spans="1:11" ht="15.75" thickBot="1">
      <c r="C32" s="14"/>
      <c r="D32" s="14"/>
      <c r="E32" s="7"/>
      <c r="F32" s="62" t="s">
        <v>25</v>
      </c>
      <c r="G32" s="63"/>
      <c r="H32" s="64">
        <f>H31-H10</f>
        <v>6.9992845364317435E-2</v>
      </c>
      <c r="J32" s="7"/>
    </row>
    <row r="33" spans="2:12" ht="15.75" thickBot="1">
      <c r="C33" s="14"/>
      <c r="D33" s="14"/>
      <c r="E33" s="7"/>
      <c r="F33" s="7"/>
      <c r="G33" s="7"/>
      <c r="H33" s="56"/>
      <c r="I33" s="7"/>
      <c r="J33" s="7"/>
    </row>
    <row r="34" spans="2:12" ht="12.75" customHeight="1">
      <c r="B34" s="47"/>
      <c r="C34" s="85" t="s">
        <v>17</v>
      </c>
      <c r="D34" s="86"/>
      <c r="E34" s="86"/>
      <c r="F34" s="86"/>
      <c r="G34" s="86"/>
      <c r="H34" s="86"/>
      <c r="I34" s="86"/>
      <c r="J34" s="87"/>
      <c r="K34" s="47"/>
    </row>
    <row r="35" spans="2:12" ht="12.75" customHeight="1">
      <c r="B35" s="47"/>
      <c r="C35" s="88" t="s">
        <v>18</v>
      </c>
      <c r="D35" s="89"/>
      <c r="E35" s="89"/>
      <c r="F35" s="89"/>
      <c r="G35" s="89"/>
      <c r="H35" s="89"/>
      <c r="I35" s="89"/>
      <c r="J35" s="90"/>
      <c r="K35" s="47"/>
      <c r="L35" s="47"/>
    </row>
    <row r="36" spans="2:12" ht="12.75" customHeight="1">
      <c r="B36" s="47"/>
      <c r="C36" s="88"/>
      <c r="D36" s="89"/>
      <c r="E36" s="89"/>
      <c r="F36" s="89"/>
      <c r="G36" s="89"/>
      <c r="H36" s="89"/>
      <c r="I36" s="89"/>
      <c r="J36" s="90"/>
      <c r="K36" s="47"/>
      <c r="L36" s="47"/>
    </row>
    <row r="37" spans="2:12" ht="15">
      <c r="B37" s="47"/>
      <c r="C37" s="88"/>
      <c r="D37" s="89"/>
      <c r="E37" s="89"/>
      <c r="F37" s="89"/>
      <c r="G37" s="89"/>
      <c r="H37" s="89"/>
      <c r="I37" s="89"/>
      <c r="J37" s="90"/>
      <c r="K37" s="47"/>
      <c r="L37" s="47"/>
    </row>
    <row r="38" spans="2:12" ht="12.75" customHeight="1" thickBot="1">
      <c r="C38" s="91"/>
      <c r="D38" s="92"/>
      <c r="E38" s="92"/>
      <c r="F38" s="92"/>
      <c r="G38" s="92"/>
      <c r="H38" s="92"/>
      <c r="I38" s="92"/>
      <c r="J38" s="93"/>
    </row>
    <row r="39" spans="2:12" ht="12.75" customHeight="1">
      <c r="C39" s="5"/>
      <c r="D39" s="5"/>
    </row>
    <row r="40" spans="2:12" ht="12.75" customHeight="1">
      <c r="B40" s="51" t="s">
        <v>19</v>
      </c>
    </row>
    <row r="41" spans="2:12" s="5" customFormat="1" ht="12.75" customHeight="1">
      <c r="C41" s="6"/>
      <c r="D41" s="6"/>
      <c r="L41"/>
    </row>
    <row r="42" spans="2:12" s="5" customFormat="1" ht="12.75" customHeight="1">
      <c r="C42" s="6"/>
      <c r="D42" s="6"/>
      <c r="L42"/>
    </row>
    <row r="43" spans="2:12" s="5" customFormat="1" ht="12.75" customHeight="1">
      <c r="C43" s="6"/>
      <c r="D43" s="6"/>
      <c r="L43"/>
    </row>
    <row r="44" spans="2:12" s="5" customFormat="1" ht="12.75" customHeight="1">
      <c r="C44" s="6"/>
      <c r="D44" s="6"/>
      <c r="L44"/>
    </row>
  </sheetData>
  <sheetProtection password="C4FC" sheet="1" objects="1" scenarios="1" selectLockedCells="1"/>
  <mergeCells count="5">
    <mergeCell ref="F6:I6"/>
    <mergeCell ref="F7:I7"/>
    <mergeCell ref="B17:C17"/>
    <mergeCell ref="C34:J34"/>
    <mergeCell ref="C35:J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J73"/>
  <sheetViews>
    <sheetView topLeftCell="A27" workbookViewId="0">
      <selection activeCell="E27" sqref="E27"/>
    </sheetView>
  </sheetViews>
  <sheetFormatPr baseColWidth="10" defaultRowHeight="15"/>
  <cols>
    <col min="2" max="2" width="13.42578125" customWidth="1"/>
    <col min="7" max="7" width="31.28515625" customWidth="1"/>
  </cols>
  <sheetData>
    <row r="3" spans="2:3">
      <c r="B3" s="66">
        <v>43882</v>
      </c>
      <c r="C3" s="65">
        <v>31.875</v>
      </c>
    </row>
    <row r="4" spans="2:3">
      <c r="B4" s="66">
        <v>43887</v>
      </c>
      <c r="C4" s="65">
        <v>31.125</v>
      </c>
    </row>
    <row r="5" spans="2:3">
      <c r="B5" s="66">
        <v>43888</v>
      </c>
      <c r="C5" s="65">
        <v>31.0625</v>
      </c>
    </row>
    <row r="6" spans="2:3">
      <c r="B6" s="66">
        <v>43889</v>
      </c>
      <c r="C6" s="65">
        <v>31.8125</v>
      </c>
    </row>
    <row r="7" spans="2:3">
      <c r="B7" s="66">
        <v>43892</v>
      </c>
      <c r="C7" s="65">
        <v>31</v>
      </c>
    </row>
    <row r="8" spans="2:3">
      <c r="B8" s="66">
        <v>43893</v>
      </c>
      <c r="C8" s="65">
        <v>31.1875</v>
      </c>
    </row>
    <row r="9" spans="2:3">
      <c r="B9" s="66">
        <v>43894</v>
      </c>
      <c r="C9" s="65">
        <v>30.5</v>
      </c>
    </row>
    <row r="10" spans="2:3">
      <c r="B10" s="67">
        <f>B9+1</f>
        <v>43895</v>
      </c>
      <c r="C10" s="65">
        <v>30.4375</v>
      </c>
    </row>
    <row r="11" spans="2:3">
      <c r="B11" s="67">
        <f>B10+1</f>
        <v>43896</v>
      </c>
      <c r="C11" s="65">
        <v>29.875</v>
      </c>
    </row>
    <row r="12" spans="2:3">
      <c r="B12" s="67">
        <f>B11+3</f>
        <v>43899</v>
      </c>
      <c r="C12" s="65">
        <v>29.5625</v>
      </c>
    </row>
    <row r="13" spans="2:3">
      <c r="B13" s="67">
        <f>B12+1</f>
        <v>43900</v>
      </c>
      <c r="C13" s="65">
        <v>29.75</v>
      </c>
    </row>
    <row r="14" spans="2:3">
      <c r="B14" s="67">
        <f>B13+1</f>
        <v>43901</v>
      </c>
      <c r="C14" s="65">
        <v>29.8125</v>
      </c>
    </row>
    <row r="15" spans="2:3">
      <c r="B15" s="67">
        <f>B14+1</f>
        <v>43902</v>
      </c>
      <c r="C15" s="65">
        <v>29.5</v>
      </c>
    </row>
    <row r="16" spans="2:3">
      <c r="B16" s="67">
        <f>B15+1</f>
        <v>43903</v>
      </c>
      <c r="C16" s="65">
        <v>29.3125</v>
      </c>
    </row>
    <row r="17" spans="2:10">
      <c r="B17" s="67">
        <f>B16+3</f>
        <v>43906</v>
      </c>
      <c r="C17" s="65">
        <v>29.5</v>
      </c>
    </row>
    <row r="18" spans="2:10">
      <c r="B18" s="67">
        <f>B17+1</f>
        <v>43907</v>
      </c>
      <c r="C18" s="65">
        <v>29.5</v>
      </c>
    </row>
    <row r="19" spans="2:10">
      <c r="B19" s="67">
        <f>B18+1</f>
        <v>43908</v>
      </c>
      <c r="C19" s="65">
        <v>29.5</v>
      </c>
    </row>
    <row r="20" spans="2:10">
      <c r="B20" s="67">
        <f>B19+1</f>
        <v>43909</v>
      </c>
      <c r="C20" s="65">
        <v>29.3125</v>
      </c>
    </row>
    <row r="21" spans="2:10">
      <c r="B21" s="67">
        <f>B20+1</f>
        <v>43910</v>
      </c>
      <c r="C21" s="65">
        <v>29</v>
      </c>
    </row>
    <row r="22" spans="2:10">
      <c r="B22" s="67">
        <f>B21+5</f>
        <v>43915</v>
      </c>
      <c r="C22" s="65">
        <v>29.3125</v>
      </c>
    </row>
    <row r="23" spans="2:10">
      <c r="B23" s="67">
        <f>B22+1</f>
        <v>43916</v>
      </c>
      <c r="C23" s="65">
        <v>29.375</v>
      </c>
    </row>
    <row r="24" spans="2:10">
      <c r="B24" s="67">
        <f>B23+1</f>
        <v>43917</v>
      </c>
      <c r="C24" s="65">
        <v>27.75</v>
      </c>
    </row>
    <row r="25" spans="2:10">
      <c r="B25" s="67">
        <v>43920</v>
      </c>
      <c r="C25" s="65">
        <v>27.5625</v>
      </c>
    </row>
    <row r="26" spans="2:10">
      <c r="B26" s="67">
        <v>43922</v>
      </c>
      <c r="C26" s="65">
        <v>27</v>
      </c>
    </row>
    <row r="27" spans="2:10">
      <c r="B27" s="67">
        <v>43923</v>
      </c>
      <c r="C27" s="65">
        <v>26.125</v>
      </c>
    </row>
    <row r="28" spans="2:10">
      <c r="B28" s="67">
        <v>43924</v>
      </c>
      <c r="C28" s="65">
        <v>25.75</v>
      </c>
    </row>
    <row r="29" spans="2:10">
      <c r="B29" s="67">
        <v>43927</v>
      </c>
      <c r="C29" s="65">
        <v>25.125</v>
      </c>
    </row>
    <row r="30" spans="2:10">
      <c r="B30" s="67">
        <v>43928</v>
      </c>
      <c r="C30" s="65">
        <v>23.0625</v>
      </c>
      <c r="D30">
        <f>AVERAGE(C3:C30)</f>
        <v>29.095982142857142</v>
      </c>
    </row>
    <row r="31" spans="2:10">
      <c r="B31" s="71">
        <v>43929</v>
      </c>
      <c r="C31" s="72">
        <f>AVERAGE($C$26:$C$30)</f>
        <v>25.412500000000001</v>
      </c>
      <c r="H31" t="s">
        <v>28</v>
      </c>
      <c r="I31" t="s">
        <v>29</v>
      </c>
    </row>
    <row r="32" spans="2:10">
      <c r="B32" s="71">
        <v>43934</v>
      </c>
      <c r="C32" s="72">
        <f t="shared" ref="C32:C62" si="0">AVERAGE($C$26:$C$30)</f>
        <v>25.412500000000001</v>
      </c>
      <c r="G32" t="s">
        <v>26</v>
      </c>
      <c r="H32" s="69">
        <f>(D30/100)+('CLASE III'!H11)</f>
        <v>0.35095982142857141</v>
      </c>
      <c r="I32" s="68">
        <f>'CLASE III'!C18-'CLASE III'!B19</f>
        <v>42</v>
      </c>
      <c r="J32">
        <f>H32*I32/365</f>
        <v>4.0384417808219171E-2</v>
      </c>
    </row>
    <row r="33" spans="2:10">
      <c r="B33" s="71">
        <v>43935</v>
      </c>
      <c r="C33" s="72">
        <f t="shared" si="0"/>
        <v>25.412500000000001</v>
      </c>
      <c r="G33" t="s">
        <v>27</v>
      </c>
      <c r="H33" s="70">
        <f>(C31/100)+'CLASE III'!H11</f>
        <v>0.31412499999999999</v>
      </c>
      <c r="I33">
        <f>'CLASE III'!C19-'CLASE III'!C18</f>
        <v>50</v>
      </c>
      <c r="J33">
        <f>H33*I33/365</f>
        <v>4.3030821917808215E-2</v>
      </c>
    </row>
    <row r="34" spans="2:10">
      <c r="B34" s="71">
        <v>43936</v>
      </c>
      <c r="C34" s="72">
        <f t="shared" si="0"/>
        <v>25.412500000000001</v>
      </c>
      <c r="J34">
        <f>SUM(J32:J33)</f>
        <v>8.3415239726027379E-2</v>
      </c>
    </row>
    <row r="35" spans="2:10">
      <c r="B35" s="71">
        <v>43937</v>
      </c>
      <c r="C35" s="72">
        <f t="shared" si="0"/>
        <v>25.412500000000001</v>
      </c>
    </row>
    <row r="36" spans="2:10">
      <c r="B36" s="71">
        <v>43938</v>
      </c>
      <c r="C36" s="72">
        <f t="shared" si="0"/>
        <v>25.412500000000001</v>
      </c>
      <c r="G36" t="s">
        <v>27</v>
      </c>
      <c r="H36" s="70">
        <f>+(D62/100)+'CLASE III'!H11</f>
        <v>0.33131458333333297</v>
      </c>
      <c r="I36">
        <v>92</v>
      </c>
      <c r="J36">
        <f>H36*I36/365</f>
        <v>8.35094292237442E-2</v>
      </c>
    </row>
    <row r="37" spans="2:10">
      <c r="B37" s="71">
        <v>43941</v>
      </c>
      <c r="C37" s="72">
        <f t="shared" si="0"/>
        <v>25.412500000000001</v>
      </c>
    </row>
    <row r="38" spans="2:10">
      <c r="B38" s="71">
        <v>43942</v>
      </c>
      <c r="C38" s="72">
        <f t="shared" si="0"/>
        <v>25.412500000000001</v>
      </c>
    </row>
    <row r="39" spans="2:10">
      <c r="B39" s="71">
        <v>43943</v>
      </c>
      <c r="C39" s="72">
        <f t="shared" si="0"/>
        <v>25.412500000000001</v>
      </c>
    </row>
    <row r="40" spans="2:10">
      <c r="B40" s="71">
        <v>43944</v>
      </c>
      <c r="C40" s="72">
        <f t="shared" si="0"/>
        <v>25.412500000000001</v>
      </c>
    </row>
    <row r="41" spans="2:10">
      <c r="B41" s="71">
        <v>43945</v>
      </c>
      <c r="C41" s="72">
        <f t="shared" si="0"/>
        <v>25.412500000000001</v>
      </c>
    </row>
    <row r="42" spans="2:10">
      <c r="B42" s="71">
        <v>43948</v>
      </c>
      <c r="C42" s="72">
        <f t="shared" si="0"/>
        <v>25.412500000000001</v>
      </c>
    </row>
    <row r="43" spans="2:10">
      <c r="B43" s="71">
        <v>43949</v>
      </c>
      <c r="C43" s="72">
        <f t="shared" si="0"/>
        <v>25.412500000000001</v>
      </c>
    </row>
    <row r="44" spans="2:10">
      <c r="B44" s="71">
        <v>43950</v>
      </c>
      <c r="C44" s="72">
        <f t="shared" si="0"/>
        <v>25.412500000000001</v>
      </c>
    </row>
    <row r="45" spans="2:10">
      <c r="B45" s="71">
        <v>43951</v>
      </c>
      <c r="C45" s="72">
        <f t="shared" si="0"/>
        <v>25.412500000000001</v>
      </c>
    </row>
    <row r="46" spans="2:10">
      <c r="B46" s="71">
        <v>43955</v>
      </c>
      <c r="C46" s="72">
        <f t="shared" si="0"/>
        <v>25.412500000000001</v>
      </c>
    </row>
    <row r="47" spans="2:10">
      <c r="B47" s="71">
        <v>43956</v>
      </c>
      <c r="C47" s="72">
        <f t="shared" si="0"/>
        <v>25.412500000000001</v>
      </c>
    </row>
    <row r="48" spans="2:10">
      <c r="B48" s="71">
        <v>43957</v>
      </c>
      <c r="C48" s="72">
        <f t="shared" si="0"/>
        <v>25.412500000000001</v>
      </c>
    </row>
    <row r="49" spans="2:4">
      <c r="B49" s="71">
        <v>43958</v>
      </c>
      <c r="C49" s="72">
        <f t="shared" si="0"/>
        <v>25.412500000000001</v>
      </c>
    </row>
    <row r="50" spans="2:4">
      <c r="B50" s="71">
        <v>43959</v>
      </c>
      <c r="C50" s="72">
        <f t="shared" si="0"/>
        <v>25.412500000000001</v>
      </c>
    </row>
    <row r="51" spans="2:4">
      <c r="B51" s="71">
        <v>43962</v>
      </c>
      <c r="C51" s="72">
        <f t="shared" si="0"/>
        <v>25.412500000000001</v>
      </c>
    </row>
    <row r="52" spans="2:4">
      <c r="B52" s="71">
        <v>43963</v>
      </c>
      <c r="C52" s="72">
        <f t="shared" si="0"/>
        <v>25.412500000000001</v>
      </c>
    </row>
    <row r="53" spans="2:4">
      <c r="B53" s="71">
        <v>43964</v>
      </c>
      <c r="C53" s="72">
        <f t="shared" si="0"/>
        <v>25.412500000000001</v>
      </c>
    </row>
    <row r="54" spans="2:4">
      <c r="B54" s="71">
        <v>43965</v>
      </c>
      <c r="C54" s="72">
        <f t="shared" si="0"/>
        <v>25.412500000000001</v>
      </c>
    </row>
    <row r="55" spans="2:4">
      <c r="B55" s="71">
        <v>43966</v>
      </c>
      <c r="C55" s="72">
        <f t="shared" si="0"/>
        <v>25.412500000000001</v>
      </c>
    </row>
    <row r="56" spans="2:4">
      <c r="B56" s="71">
        <v>43969</v>
      </c>
      <c r="C56" s="72">
        <f t="shared" si="0"/>
        <v>25.412500000000001</v>
      </c>
    </row>
    <row r="57" spans="2:4">
      <c r="B57" s="71">
        <v>43970</v>
      </c>
      <c r="C57" s="72">
        <f t="shared" si="0"/>
        <v>25.412500000000001</v>
      </c>
    </row>
    <row r="58" spans="2:4">
      <c r="B58" s="71">
        <v>43971</v>
      </c>
      <c r="C58" s="72">
        <f t="shared" si="0"/>
        <v>25.412500000000001</v>
      </c>
    </row>
    <row r="59" spans="2:4">
      <c r="B59" s="71">
        <v>43972</v>
      </c>
      <c r="C59" s="72">
        <f t="shared" si="0"/>
        <v>25.412500000000001</v>
      </c>
    </row>
    <row r="60" spans="2:4">
      <c r="B60" s="71">
        <v>43973</v>
      </c>
      <c r="C60" s="72">
        <f t="shared" si="0"/>
        <v>25.412500000000001</v>
      </c>
    </row>
    <row r="61" spans="2:4">
      <c r="B61" s="71">
        <v>43977</v>
      </c>
      <c r="C61" s="72">
        <f t="shared" si="0"/>
        <v>25.412500000000001</v>
      </c>
    </row>
    <row r="62" spans="2:4">
      <c r="B62" s="71">
        <v>43978</v>
      </c>
      <c r="C62" s="72">
        <f t="shared" si="0"/>
        <v>25.412500000000001</v>
      </c>
      <c r="D62">
        <f>AVERAGE(C3:C62)</f>
        <v>27.131458333333299</v>
      </c>
    </row>
    <row r="71" spans="2:2">
      <c r="B71" s="67"/>
    </row>
    <row r="72" spans="2:2">
      <c r="B72" s="67"/>
    </row>
    <row r="73" spans="2:2">
      <c r="B73" s="67"/>
    </row>
  </sheetData>
  <sheetProtection password="C4FC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showGridLines="0" zoomScale="80" zoomScaleNormal="80" workbookViewId="0"/>
  </sheetViews>
  <sheetFormatPr baseColWidth="10" defaultColWidth="0" defaultRowHeight="12.75" customHeight="1" zeroHeight="1"/>
  <cols>
    <col min="1" max="1" width="4.42578125" style="5" customWidth="1"/>
    <col min="2" max="2" width="25.42578125" style="5" customWidth="1"/>
    <col min="3" max="3" width="25.42578125" style="6" customWidth="1"/>
    <col min="4" max="4" width="32.85546875" style="6" bestFit="1" customWidth="1"/>
    <col min="5" max="6" width="12.42578125" style="5" customWidth="1"/>
    <col min="7" max="7" width="15.28515625" style="5" customWidth="1"/>
    <col min="8" max="8" width="15" style="5" customWidth="1"/>
    <col min="9" max="11" width="12.42578125" style="5" customWidth="1"/>
    <col min="16384" max="16384" width="0.42578125" customWidth="1"/>
  </cols>
  <sheetData>
    <row r="1" spans="1:11" s="5" customFormat="1" ht="15">
      <c r="C1" s="6"/>
      <c r="D1" s="6"/>
    </row>
    <row r="2" spans="1:11" s="5" customFormat="1" ht="15">
      <c r="C2" s="6"/>
      <c r="D2" s="6"/>
    </row>
    <row r="3" spans="1:11" s="5" customFormat="1" ht="15">
      <c r="C3" s="6"/>
      <c r="D3" s="6"/>
    </row>
    <row r="4" spans="1:11" s="5" customFormat="1" ht="15">
      <c r="C4" s="6"/>
      <c r="D4" s="6"/>
    </row>
    <row r="5" spans="1:11" s="5" customFormat="1" ht="15.75" thickBot="1">
      <c r="C5" s="6"/>
      <c r="D5" s="6"/>
    </row>
    <row r="6" spans="1:11" s="5" customFormat="1" ht="15.75" customHeight="1">
      <c r="C6" s="6"/>
      <c r="D6" s="6"/>
      <c r="F6" s="77" t="s">
        <v>3</v>
      </c>
      <c r="G6" s="78"/>
      <c r="H6" s="78"/>
      <c r="I6" s="79"/>
    </row>
    <row r="7" spans="1:11" s="5" customFormat="1" ht="15.75" customHeight="1" thickBot="1">
      <c r="C7" s="6"/>
      <c r="D7" s="6"/>
      <c r="F7" s="80" t="s">
        <v>20</v>
      </c>
      <c r="G7" s="81"/>
      <c r="H7" s="81"/>
      <c r="I7" s="82"/>
      <c r="J7" s="7"/>
    </row>
    <row r="8" spans="1:11" s="5" customFormat="1" ht="15.75" customHeight="1">
      <c r="C8" s="6"/>
      <c r="D8" s="6"/>
      <c r="F8" s="8"/>
      <c r="G8" s="8"/>
      <c r="H8" s="8"/>
      <c r="I8" s="8"/>
      <c r="J8" s="7"/>
    </row>
    <row r="9" spans="1:11" ht="15">
      <c r="F9" s="9" t="s">
        <v>13</v>
      </c>
      <c r="G9" s="10"/>
      <c r="H9" s="11">
        <v>0.230625</v>
      </c>
      <c r="J9" s="7"/>
    </row>
    <row r="10" spans="1:11" ht="15">
      <c r="F10" s="9" t="s">
        <v>14</v>
      </c>
      <c r="G10" s="10"/>
      <c r="H10" s="11">
        <v>3.5000000000000003E-2</v>
      </c>
      <c r="J10" s="7"/>
    </row>
    <row r="11" spans="1:11" ht="15">
      <c r="F11" s="12" t="s">
        <v>15</v>
      </c>
      <c r="G11" s="13"/>
      <c r="H11" s="43">
        <f>+H9+H10</f>
        <v>0.265625</v>
      </c>
      <c r="J11" s="7"/>
    </row>
    <row r="12" spans="1:11" ht="15" hidden="1">
      <c r="C12" s="14"/>
      <c r="D12" s="14"/>
      <c r="E12" s="7"/>
      <c r="F12" s="44" t="s">
        <v>16</v>
      </c>
      <c r="G12" s="45"/>
      <c r="H12" s="46">
        <v>0</v>
      </c>
      <c r="I12" s="7"/>
      <c r="J12" s="7"/>
    </row>
    <row r="13" spans="1:11" ht="15">
      <c r="C13" s="14"/>
      <c r="D13" s="14"/>
      <c r="E13" s="7"/>
      <c r="F13" s="7"/>
      <c r="G13" s="7"/>
      <c r="H13" s="7"/>
      <c r="I13" s="7"/>
      <c r="J13" s="7"/>
    </row>
    <row r="14" spans="1:11" s="20" customFormat="1" ht="24" customHeight="1">
      <c r="A14" s="15"/>
      <c r="B14" s="83" t="s">
        <v>4</v>
      </c>
      <c r="C14" s="84"/>
      <c r="D14" s="16" t="s">
        <v>5</v>
      </c>
      <c r="E14" s="17" t="s">
        <v>6</v>
      </c>
      <c r="F14" s="18" t="s">
        <v>2</v>
      </c>
      <c r="G14" s="18" t="s">
        <v>1</v>
      </c>
      <c r="H14" s="18" t="s">
        <v>7</v>
      </c>
      <c r="I14" s="18" t="s">
        <v>8</v>
      </c>
      <c r="J14" s="18" t="s">
        <v>9</v>
      </c>
      <c r="K14" s="19" t="s">
        <v>10</v>
      </c>
    </row>
    <row r="15" spans="1:11" ht="15">
      <c r="A15" s="21"/>
      <c r="B15" s="22"/>
      <c r="C15" s="22">
        <v>43938</v>
      </c>
      <c r="D15" s="22">
        <f t="shared" ref="D15" si="0">+C15</f>
        <v>43938</v>
      </c>
      <c r="E15" s="23">
        <v>100</v>
      </c>
      <c r="F15" s="23"/>
      <c r="G15" s="23"/>
      <c r="H15" s="23">
        <f t="shared" ref="H15:H16" si="1">+E15-G15</f>
        <v>100</v>
      </c>
      <c r="I15" s="23">
        <f>-E15</f>
        <v>-100</v>
      </c>
      <c r="J15" s="24"/>
      <c r="K15" s="23"/>
    </row>
    <row r="16" spans="1:11" ht="15">
      <c r="A16" s="25">
        <v>3</v>
      </c>
      <c r="B16" s="26">
        <f>+C15</f>
        <v>43938</v>
      </c>
      <c r="C16" s="27">
        <f>EDATE(C$15,A16)</f>
        <v>44029</v>
      </c>
      <c r="D16" s="31">
        <f t="shared" ref="D16" si="2">+C16</f>
        <v>44029</v>
      </c>
      <c r="E16" s="28">
        <f t="shared" ref="E16" si="3">+H15</f>
        <v>100</v>
      </c>
      <c r="F16" s="55">
        <f>IF(H11&gt;H12,+E16*$H$11*(C16-C15)/365,+E16*$H$12*(C16-C15)/365)</f>
        <v>6.6224315068493151</v>
      </c>
      <c r="G16" s="28">
        <v>100</v>
      </c>
      <c r="H16" s="28">
        <f t="shared" si="1"/>
        <v>0</v>
      </c>
      <c r="I16" s="28">
        <f t="shared" ref="I16" si="4">+F16+G16</f>
        <v>106.62243150684931</v>
      </c>
      <c r="J16" s="29">
        <f>+I16/(1+$H$22)^((C16-C$15)/365)</f>
        <v>99.999999901728174</v>
      </c>
      <c r="K16" s="30">
        <f t="shared" ref="K16" si="5">+C16-$C$15</f>
        <v>91</v>
      </c>
    </row>
    <row r="17" spans="1:12" ht="15">
      <c r="A17" s="25">
        <f t="shared" ref="A17" si="6">+A16+3</f>
        <v>6</v>
      </c>
      <c r="B17" s="26"/>
      <c r="C17" s="27"/>
      <c r="D17" s="31"/>
      <c r="E17" s="28"/>
      <c r="F17" s="28"/>
      <c r="G17" s="28"/>
      <c r="H17" s="28"/>
      <c r="I17" s="28"/>
      <c r="J17" s="29"/>
      <c r="K17" s="30"/>
    </row>
    <row r="18" spans="1:12" ht="15" hidden="1">
      <c r="A18" s="25"/>
      <c r="B18" s="32"/>
      <c r="C18" s="33"/>
      <c r="D18" s="32"/>
      <c r="E18" s="28"/>
      <c r="F18" s="28"/>
      <c r="G18" s="28"/>
      <c r="H18" s="28"/>
      <c r="I18" s="28"/>
      <c r="J18" s="29"/>
      <c r="K18" s="30"/>
    </row>
    <row r="19" spans="1:12" ht="15" hidden="1">
      <c r="A19" s="25"/>
      <c r="B19" s="32"/>
      <c r="C19" s="33"/>
      <c r="D19" s="32"/>
      <c r="E19" s="28"/>
      <c r="F19" s="28"/>
      <c r="G19" s="28"/>
      <c r="H19" s="28"/>
      <c r="I19" s="28"/>
      <c r="J19" s="29"/>
      <c r="K19" s="30"/>
    </row>
    <row r="20" spans="1:12" ht="15">
      <c r="A20" s="21"/>
      <c r="B20" s="34"/>
      <c r="C20" s="34"/>
      <c r="D20" s="34"/>
      <c r="E20" s="35"/>
      <c r="F20" s="35"/>
      <c r="G20" s="35"/>
      <c r="H20" s="35"/>
      <c r="I20" s="35"/>
      <c r="J20" s="36"/>
      <c r="K20" s="37"/>
    </row>
    <row r="21" spans="1:12" ht="15.75" thickBot="1">
      <c r="A21" s="21"/>
      <c r="C21" s="38"/>
      <c r="D21" s="38"/>
      <c r="E21" s="39"/>
      <c r="F21" s="39"/>
      <c r="G21" s="39"/>
      <c r="H21" s="39"/>
      <c r="I21" s="39"/>
      <c r="J21" s="39"/>
      <c r="K21" s="40"/>
    </row>
    <row r="22" spans="1:12" ht="15">
      <c r="C22" s="14"/>
      <c r="D22" s="14"/>
      <c r="E22" s="41"/>
      <c r="F22" s="48" t="s">
        <v>0</v>
      </c>
      <c r="G22" s="49"/>
      <c r="H22" s="50">
        <f>XIRR(I15:I16,C15:C16)</f>
        <v>0.29330322146415733</v>
      </c>
      <c r="J22" s="41"/>
      <c r="K22" s="42"/>
    </row>
    <row r="23" spans="1:12" ht="15">
      <c r="C23" s="14"/>
      <c r="D23" s="14"/>
      <c r="E23" s="41"/>
      <c r="F23" s="1" t="s">
        <v>11</v>
      </c>
      <c r="G23" s="2"/>
      <c r="H23" s="52">
        <f>SUMPRODUCT(J15:J16,K15:K16)/100/365*12</f>
        <v>2.9917808189777308</v>
      </c>
      <c r="J23" s="41"/>
      <c r="K23" s="42"/>
    </row>
    <row r="24" spans="1:12" ht="15.75" thickBot="1">
      <c r="C24" s="14"/>
      <c r="D24" s="14"/>
      <c r="E24" s="7"/>
      <c r="F24" s="3" t="s">
        <v>12</v>
      </c>
      <c r="G24" s="4"/>
      <c r="H24" s="53">
        <f>SUMPRODUCT(G16,A16)/100</f>
        <v>3</v>
      </c>
      <c r="J24" s="7"/>
    </row>
    <row r="25" spans="1:12" ht="15.75" thickBot="1">
      <c r="C25" s="14"/>
      <c r="D25" s="14"/>
      <c r="E25" s="7"/>
      <c r="F25" s="7"/>
      <c r="G25" s="7"/>
      <c r="H25" s="56"/>
      <c r="I25" s="7"/>
      <c r="J25" s="7"/>
    </row>
    <row r="26" spans="1:12" ht="12.75" customHeight="1">
      <c r="B26" s="47"/>
      <c r="C26" s="85" t="s">
        <v>17</v>
      </c>
      <c r="D26" s="86"/>
      <c r="E26" s="86"/>
      <c r="F26" s="86"/>
      <c r="G26" s="86"/>
      <c r="H26" s="86"/>
      <c r="I26" s="86"/>
      <c r="J26" s="87"/>
      <c r="K26" s="47"/>
    </row>
    <row r="27" spans="1:12" ht="12.75" customHeight="1">
      <c r="B27" s="47"/>
      <c r="C27" s="88" t="s">
        <v>18</v>
      </c>
      <c r="D27" s="89"/>
      <c r="E27" s="89"/>
      <c r="F27" s="89"/>
      <c r="G27" s="89"/>
      <c r="H27" s="89"/>
      <c r="I27" s="89"/>
      <c r="J27" s="90"/>
      <c r="K27" s="47"/>
      <c r="L27" s="47"/>
    </row>
    <row r="28" spans="1:12" ht="12.75" customHeight="1">
      <c r="B28" s="47"/>
      <c r="C28" s="88"/>
      <c r="D28" s="89"/>
      <c r="E28" s="89"/>
      <c r="F28" s="89"/>
      <c r="G28" s="89"/>
      <c r="H28" s="89"/>
      <c r="I28" s="89"/>
      <c r="J28" s="90"/>
      <c r="K28" s="47"/>
      <c r="L28" s="47"/>
    </row>
    <row r="29" spans="1:12" ht="15">
      <c r="B29" s="47"/>
      <c r="C29" s="88"/>
      <c r="D29" s="89"/>
      <c r="E29" s="89"/>
      <c r="F29" s="89"/>
      <c r="G29" s="89"/>
      <c r="H29" s="89"/>
      <c r="I29" s="89"/>
      <c r="J29" s="90"/>
      <c r="K29" s="47"/>
      <c r="L29" s="47"/>
    </row>
    <row r="30" spans="1:12" ht="12.75" customHeight="1" thickBot="1">
      <c r="C30" s="91"/>
      <c r="D30" s="92"/>
      <c r="E30" s="92"/>
      <c r="F30" s="92"/>
      <c r="G30" s="92"/>
      <c r="H30" s="92"/>
      <c r="I30" s="92"/>
      <c r="J30" s="93"/>
    </row>
    <row r="31" spans="1:12" ht="12.75" customHeight="1">
      <c r="C31" s="5"/>
      <c r="D31" s="5"/>
    </row>
    <row r="32" spans="1:12" ht="12.75" customHeight="1">
      <c r="B32" s="51" t="s">
        <v>19</v>
      </c>
    </row>
    <row r="33" ht="12.75" customHeight="1"/>
    <row r="34" ht="12.75" customHeight="1"/>
    <row r="35" ht="12.75" customHeight="1"/>
    <row r="36" ht="12.75" customHeight="1"/>
  </sheetData>
  <sheetProtection password="C4FC" sheet="1" objects="1" scenarios="1" selectLockedCells="1"/>
  <mergeCells count="5">
    <mergeCell ref="F6:I6"/>
    <mergeCell ref="F7:I7"/>
    <mergeCell ref="B14:C14"/>
    <mergeCell ref="C26:J26"/>
    <mergeCell ref="C27:J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CLASE III</vt:lpstr>
      <vt:lpstr>BADLAR</vt:lpstr>
      <vt:lpstr>CLASE 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TIMER</cp:lastModifiedBy>
  <cp:lastPrinted>2020-04-14T13:26:43Z</cp:lastPrinted>
  <dcterms:created xsi:type="dcterms:W3CDTF">2018-03-08T13:21:11Z</dcterms:created>
  <dcterms:modified xsi:type="dcterms:W3CDTF">2020-04-14T13:27:08Z</dcterms:modified>
</cp:coreProperties>
</file>